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SIREM\01_DOC\"/>
    </mc:Choice>
  </mc:AlternateContent>
  <bookViews>
    <workbookView xWindow="0" yWindow="0" windowWidth="21570" windowHeight="768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2" l="1"/>
  <c r="L19" i="2"/>
  <c r="L18" i="2"/>
  <c r="L17" i="2"/>
  <c r="L15" i="2"/>
  <c r="L14" i="2"/>
  <c r="L12" i="2"/>
  <c r="L10" i="2"/>
  <c r="L9" i="2"/>
  <c r="L13" i="2"/>
  <c r="K19" i="2"/>
  <c r="K20" i="2"/>
  <c r="G10" i="2"/>
  <c r="H10" i="2" s="1"/>
  <c r="I10" i="2" s="1"/>
  <c r="G11" i="2"/>
  <c r="H11" i="2" s="1"/>
  <c r="G12" i="2"/>
  <c r="H12" i="2" s="1"/>
  <c r="G13" i="2"/>
  <c r="H13" i="2" s="1"/>
  <c r="I13" i="2" s="1"/>
  <c r="G14" i="2"/>
  <c r="H14" i="2" s="1"/>
  <c r="I14" i="2" s="1"/>
  <c r="G15" i="2"/>
  <c r="H15" i="2"/>
  <c r="I15" i="2" s="1"/>
  <c r="G16" i="2"/>
  <c r="H16" i="2" s="1"/>
  <c r="I16" i="2" s="1"/>
  <c r="G17" i="2"/>
  <c r="H17" i="2"/>
  <c r="I17" i="2"/>
  <c r="G18" i="2"/>
  <c r="H18" i="2" s="1"/>
  <c r="G19" i="2"/>
  <c r="H19" i="2" s="1"/>
  <c r="I19" i="2" s="1"/>
  <c r="G20" i="2"/>
  <c r="H20" i="2" s="1"/>
  <c r="I20" i="2" s="1"/>
  <c r="G9" i="2"/>
  <c r="H9" i="2" s="1"/>
  <c r="G6" i="2"/>
  <c r="H6" i="2" s="1"/>
  <c r="G7" i="2"/>
  <c r="H7" i="2" s="1"/>
  <c r="G8" i="2"/>
  <c r="H8" i="2" s="1"/>
  <c r="G5" i="2"/>
  <c r="H5" i="2" s="1"/>
  <c r="G21" i="2"/>
  <c r="H21" i="2" s="1"/>
  <c r="G23" i="2"/>
  <c r="H23" i="2" s="1"/>
  <c r="I23" i="2" s="1"/>
  <c r="G22" i="2"/>
  <c r="H22" i="2" s="1"/>
  <c r="I22" i="2" s="1"/>
  <c r="C33" i="1"/>
  <c r="G4" i="2"/>
  <c r="G3" i="2"/>
  <c r="H3" i="2" s="1"/>
  <c r="I3" i="2" s="1"/>
  <c r="L3" i="2" l="1"/>
  <c r="L22" i="2"/>
  <c r="L23" i="2"/>
  <c r="M22" i="2" s="1"/>
  <c r="K15" i="2"/>
  <c r="K17" i="2"/>
  <c r="K16" i="2"/>
  <c r="L16" i="2" s="1"/>
  <c r="M9" i="2" s="1"/>
  <c r="I7" i="2"/>
  <c r="K7" i="2" s="1"/>
  <c r="L7" i="2" s="1"/>
  <c r="M5" i="2" s="1"/>
  <c r="I5" i="2"/>
  <c r="K5" i="2" s="1"/>
  <c r="L5" i="2" s="1"/>
  <c r="I6" i="2"/>
  <c r="K6" i="2" s="1"/>
  <c r="I8" i="2"/>
  <c r="K8" i="2" s="1"/>
  <c r="I9" i="2"/>
  <c r="K9" i="2" s="1"/>
  <c r="I12" i="2"/>
  <c r="K12" i="2" s="1"/>
  <c r="I11" i="2"/>
  <c r="K11" i="2" s="1"/>
  <c r="L11" i="2" s="1"/>
  <c r="I18" i="2"/>
  <c r="K18" i="2" s="1"/>
  <c r="K13" i="2"/>
  <c r="K14" i="2"/>
  <c r="K10" i="2"/>
  <c r="H4" i="2"/>
  <c r="K3" i="2"/>
  <c r="I21" i="2"/>
  <c r="K21" i="2" s="1"/>
  <c r="L21" i="2" s="1"/>
  <c r="M21" i="2" s="1"/>
  <c r="K22" i="2"/>
  <c r="K23" i="2"/>
  <c r="G33" i="2"/>
  <c r="H33" i="2" s="1"/>
  <c r="I33" i="2" s="1"/>
  <c r="G32" i="2"/>
  <c r="H32" i="2" s="1"/>
  <c r="I32" i="2" s="1"/>
  <c r="K33" i="2"/>
  <c r="K28" i="2"/>
  <c r="G28" i="2"/>
  <c r="H28" i="2" s="1"/>
  <c r="I28" i="2" s="1"/>
  <c r="G27" i="2"/>
  <c r="H27" i="2" s="1"/>
  <c r="I27" i="2" s="1"/>
  <c r="K27" i="2" s="1"/>
  <c r="C31" i="1" s="1"/>
  <c r="I4" i="2" l="1"/>
  <c r="K4" i="2" s="1"/>
  <c r="K32" i="2"/>
  <c r="C32" i="1" s="1"/>
  <c r="L4" i="2" l="1"/>
  <c r="M3" i="2" s="1"/>
  <c r="C30" i="1" s="1"/>
  <c r="C34" i="1" s="1"/>
  <c r="C35" i="1" s="1"/>
</calcChain>
</file>

<file path=xl/sharedStrings.xml><?xml version="1.0" encoding="utf-8"?>
<sst xmlns="http://schemas.openxmlformats.org/spreadsheetml/2006/main" count="99" uniqueCount="60">
  <si>
    <t>¿En qué zona está (ZETU, ZIRE)?</t>
  </si>
  <si>
    <t>¿Unidad familiar en situación de dificultad social?</t>
  </si>
  <si>
    <t>ZETU</t>
  </si>
  <si>
    <t>CONSERVACIÓN</t>
  </si>
  <si>
    <t>ZIRE</t>
  </si>
  <si>
    <t>ZETU Y ZIRE</t>
  </si>
  <si>
    <t>-</t>
  </si>
  <si>
    <t>ÁMBITO</t>
  </si>
  <si>
    <t>LÍNEA</t>
  </si>
  <si>
    <t>CUANTÍA MÁXIMA POR VIVIENDA</t>
  </si>
  <si>
    <t>PORCENTAJE SUBVENCIÓN</t>
  </si>
  <si>
    <t>SÍ</t>
  </si>
  <si>
    <t>NO</t>
  </si>
  <si>
    <t>¿Cuál es el presupuesto de los honorarios?</t>
  </si>
  <si>
    <t>¿Cuál es el presupuesto de los costes indirectos?</t>
  </si>
  <si>
    <t>ACCESIBILIDAD</t>
  </si>
  <si>
    <t>EFICIENCIA ENERGÉTICA</t>
  </si>
  <si>
    <t>SALUBRIDAD</t>
  </si>
  <si>
    <t>SEGURIDAD</t>
  </si>
  <si>
    <t>CUALQUIER LÍNEA</t>
  </si>
  <si>
    <t>CUANTÍA MÁXIMA POR EDIFICIO</t>
  </si>
  <si>
    <t>¿Actúa por Accesibilidad?</t>
  </si>
  <si>
    <t>¿Actúa por Conservación?</t>
  </si>
  <si>
    <t>¿Actúa por Eficiencia Energética (verde)?</t>
  </si>
  <si>
    <t>¿Actúa por Salubridad?</t>
  </si>
  <si>
    <t>¿Actúa por Seguridad?</t>
  </si>
  <si>
    <t>¿Cuál es el presupuesto de la actuación (coste real) de accesibilidad?</t>
  </si>
  <si>
    <t>¿Cuál es el presupuesto de la actuación (coste real) de conservación?</t>
  </si>
  <si>
    <t>¿Cuál es el presupuesto de la actuación (coste real) de salubridad?</t>
  </si>
  <si>
    <t>¿Cuál es el presupuesto de la actuación (coste real) de seguridad?</t>
  </si>
  <si>
    <t>¿Cuántas viviendas hay?</t>
  </si>
  <si>
    <t>¿Cuántos locales hay?</t>
  </si>
  <si>
    <t>¿QUÉ SUBVENCIÓN ME DARÁN?</t>
  </si>
  <si>
    <t>COSTES HONORARIOS</t>
  </si>
  <si>
    <t>COSTES INDIRECTOS</t>
  </si>
  <si>
    <t>¿Qué mejora de la demanda global de calefacción/refrigeración van a lograr?</t>
  </si>
  <si>
    <t>¿Qué calificación energética tiene actualmente su edificio en emisiones?</t>
  </si>
  <si>
    <t>En esas viviendas, ¿hay alguna/s cuyos hogares cumplan con la condición de "dificultad social"? Si es así, indique el número. Si no, marque "0".</t>
  </si>
  <si>
    <t>¿El edificio se encuentra bajo algún tipo de protección que afecte a la envolvente térmica (fachada)?</t>
  </si>
  <si>
    <t>¿Pertenece a una Comunidad energética?</t>
  </si>
  <si>
    <t>Coste/viv</t>
  </si>
  <si>
    <t>Coste viv resto</t>
  </si>
  <si>
    <t>Coste viv dificil</t>
  </si>
  <si>
    <t>Resultado</t>
  </si>
  <si>
    <t>¿Va a conseguir que su edificio tenga un consumo casi nulo (9.1.3.i), equiparable a Passiv Haus?</t>
  </si>
  <si>
    <t>COSTES TOTALES</t>
  </si>
  <si>
    <t>PORCENTAJE DE AYUDA</t>
  </si>
  <si>
    <t>¿Cuál es el presupuesto de la actuación (coste real) de eficiencia energética (verde)?*</t>
  </si>
  <si>
    <t>¿Cuál es el presupuesto de la actuación (coste real) de las actuaciones del punto 9.1.3.c)?*</t>
  </si>
  <si>
    <r>
      <rPr>
        <sz val="11"/>
        <color theme="1"/>
        <rFont val="Calibri"/>
        <family val="2"/>
        <scheme val="minor"/>
      </rPr>
      <t>*</t>
    </r>
    <r>
      <rPr>
        <sz val="8"/>
        <color theme="1"/>
        <rFont val="Calibri"/>
        <family val="2"/>
        <scheme val="minor"/>
      </rPr>
      <t>. En el caso de que sean Comunidades Energéticas y además realicen alguna actuación que pueda enmarcarse en el apartado 9.1.3.c) de las bases de la convocatoria, en el Presupuesto de Línea Verde tienen que poner aquel que corresponda al resultante de todos los costes vinculados a las actuaciones de dicha línea menos aquel que sea de las actuaciones comprendidas en el apartado 9.1.3.c), el cual deberán indicarlo en la pregunta relativa al mismo. Si no son Comunidades Energéticas y/o no van a acometer actuaciones del punto 9.1.3.c), pongan la totalidad del presupuesto relacionado con la Línea Verde en la pregunta de coste real de eficiencia energética, dejando en blanco la pregunta relativa a las actuaciones del punto 9.1.3.c).</t>
    </r>
  </si>
  <si>
    <t>Resultado filtrado</t>
  </si>
  <si>
    <t>A,B,C,D o E</t>
  </si>
  <si>
    <t>AL MENOS UN 60%</t>
  </si>
  <si>
    <t>¿Va a acometer actuaciones enmarcadas en el apartado 9.1.3.c)?</t>
  </si>
  <si>
    <t>Resultado ZETU ZIRE</t>
  </si>
  <si>
    <t>COSTES REALES (presupuesto)</t>
  </si>
  <si>
    <t>DATOS ACTUACIONES</t>
  </si>
  <si>
    <t>RESPUESTAS
Rellene</t>
  </si>
  <si>
    <t>RESPUESTAS
Seleccione</t>
  </si>
  <si>
    <t>DATOS ECONÓMICOS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</si>
</sst>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4" x14ac:knownFonts="1">
    <font>
      <sz val="11"/>
      <color theme="1"/>
      <name val="Calibri"/>
      <family val="2"/>
      <scheme val="minor"/>
    </font>
    <font>
      <sz val="11"/>
      <color theme="1"/>
      <name val="Calibri"/>
      <family val="2"/>
      <scheme val="minor"/>
    </font>
    <font>
      <sz val="11"/>
      <name val="Calibri"/>
      <family val="2"/>
      <scheme val="minor"/>
    </font>
    <font>
      <sz val="11"/>
      <color theme="8"/>
      <name val="Calibri"/>
      <family val="2"/>
      <scheme val="minor"/>
    </font>
    <font>
      <b/>
      <sz val="11"/>
      <color theme="8"/>
      <name val="Calibri"/>
      <family val="2"/>
      <scheme val="minor"/>
    </font>
    <font>
      <sz val="11"/>
      <color rgb="FFFF0000"/>
      <name val="Calibri"/>
      <family val="2"/>
      <scheme val="minor"/>
    </font>
    <font>
      <sz val="8"/>
      <color theme="1"/>
      <name val="Calibri"/>
      <family val="2"/>
      <scheme val="minor"/>
    </font>
    <font>
      <sz val="10"/>
      <color theme="1"/>
      <name val="Verdana"/>
      <family val="2"/>
    </font>
    <font>
      <sz val="12"/>
      <color theme="1"/>
      <name val="Verdana"/>
      <family val="2"/>
    </font>
    <font>
      <b/>
      <sz val="12"/>
      <color theme="0"/>
      <name val="Verdana"/>
      <family val="2"/>
    </font>
    <font>
      <sz val="10"/>
      <name val="Verdana"/>
      <family val="2"/>
    </font>
    <font>
      <sz val="12"/>
      <name val="Verdana"/>
      <family val="2"/>
    </font>
    <font>
      <sz val="12"/>
      <color theme="0"/>
      <name val="Verdana"/>
      <family val="2"/>
    </font>
    <font>
      <b/>
      <sz val="12"/>
      <name val="Verdana"/>
      <family val="2"/>
    </font>
  </fonts>
  <fills count="9">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8"/>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3" borderId="1" applyNumberFormat="0" applyFont="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3" fillId="3" borderId="1" xfId="1" applyFont="1" applyAlignment="1">
      <alignment horizontal="center" vertical="center"/>
    </xf>
    <xf numFmtId="0" fontId="3" fillId="3" borderId="1" xfId="1" applyFont="1" applyAlignment="1">
      <alignment horizontal="center" vertical="center"/>
    </xf>
    <xf numFmtId="0" fontId="4" fillId="3" borderId="1" xfId="1" applyFont="1" applyAlignment="1">
      <alignment horizontal="center" vertical="center"/>
    </xf>
    <xf numFmtId="0" fontId="4" fillId="3" borderId="1" xfId="1" applyFont="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Fill="1" applyAlignment="1">
      <alignment wrapText="1"/>
    </xf>
    <xf numFmtId="0" fontId="2" fillId="0" borderId="0" xfId="0" applyFont="1" applyFill="1"/>
    <xf numFmtId="9" fontId="3" fillId="3" borderId="1" xfId="1" applyNumberFormat="1" applyFont="1" applyAlignment="1">
      <alignment horizontal="center" vertical="center"/>
    </xf>
    <xf numFmtId="3" fontId="0" fillId="0" borderId="0" xfId="0" applyNumberFormat="1"/>
    <xf numFmtId="0" fontId="0" fillId="0" borderId="0" xfId="0" applyFill="1" applyBorder="1" applyAlignment="1">
      <alignment horizontal="center" vertical="center" wrapText="1"/>
    </xf>
    <xf numFmtId="0" fontId="0" fillId="0" borderId="0" xfId="0" applyAlignment="1">
      <alignment vertical="center" wrapText="1"/>
    </xf>
    <xf numFmtId="0" fontId="5" fillId="0" borderId="0" xfId="0" applyFont="1"/>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6" borderId="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3" fontId="8" fillId="6" borderId="0" xfId="0" applyNumberFormat="1" applyFont="1" applyFill="1" applyBorder="1" applyAlignment="1">
      <alignment horizontal="center" vertical="center" wrapText="1"/>
    </xf>
    <xf numFmtId="0" fontId="10" fillId="7" borderId="0" xfId="0" applyFont="1" applyFill="1" applyBorder="1" applyAlignment="1">
      <alignment horizontal="center" vertical="center" wrapText="1"/>
    </xf>
    <xf numFmtId="9" fontId="12" fillId="5" borderId="11" xfId="0" applyNumberFormat="1" applyFont="1" applyFill="1" applyBorder="1" applyAlignment="1">
      <alignment horizontal="center" vertical="center" wrapText="1"/>
    </xf>
    <xf numFmtId="0" fontId="11" fillId="8" borderId="6" xfId="0" applyFont="1" applyFill="1" applyBorder="1" applyAlignment="1">
      <alignment wrapText="1"/>
    </xf>
    <xf numFmtId="0" fontId="11" fillId="8" borderId="8" xfId="0" applyFont="1" applyFill="1" applyBorder="1" applyAlignment="1">
      <alignment wrapText="1"/>
    </xf>
    <xf numFmtId="164" fontId="8" fillId="6" borderId="0" xfId="0" applyNumberFormat="1" applyFont="1" applyFill="1" applyBorder="1" applyAlignment="1">
      <alignment horizontal="center" vertical="center" wrapText="1"/>
    </xf>
    <xf numFmtId="164" fontId="11" fillId="7" borderId="7" xfId="0" applyNumberFormat="1" applyFont="1" applyFill="1" applyBorder="1" applyAlignment="1">
      <alignment horizontal="center" vertical="center" wrapText="1"/>
    </xf>
    <xf numFmtId="164" fontId="11" fillId="7" borderId="9" xfId="0" applyNumberFormat="1" applyFont="1" applyFill="1" applyBorder="1" applyAlignment="1">
      <alignment horizontal="center" vertical="center" wrapText="1"/>
    </xf>
    <xf numFmtId="0" fontId="13" fillId="2" borderId="8" xfId="0" applyFont="1" applyFill="1" applyBorder="1" applyAlignment="1">
      <alignment wrapText="1"/>
    </xf>
    <xf numFmtId="0" fontId="9" fillId="5" borderId="10" xfId="0" applyFont="1" applyFill="1" applyBorder="1" applyAlignment="1">
      <alignment wrapText="1"/>
    </xf>
    <xf numFmtId="164" fontId="11" fillId="2" borderId="9" xfId="0" applyNumberFormat="1" applyFont="1" applyFill="1" applyBorder="1" applyAlignment="1">
      <alignment horizontal="center"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3" fillId="3" borderId="1" xfId="1" applyFont="1" applyAlignment="1">
      <alignment horizontal="center" vertical="center"/>
    </xf>
    <xf numFmtId="0" fontId="3" fillId="3" borderId="2" xfId="1" applyFont="1" applyBorder="1" applyAlignment="1">
      <alignment horizontal="center" vertical="center"/>
    </xf>
    <xf numFmtId="0" fontId="3" fillId="3" borderId="3" xfId="1" applyFont="1" applyBorder="1" applyAlignment="1">
      <alignment horizontal="center" vertical="center"/>
    </xf>
  </cellXfs>
  <cellStyles count="2">
    <cellStyle name="Normal" xfId="0" builtinId="0"/>
    <cellStyle name="Notas" xfId="1" builtinId="10"/>
  </cellStyles>
  <dxfs count="10">
    <dxf>
      <font>
        <strike val="0"/>
        <outline val="0"/>
        <shadow val="0"/>
        <u val="none"/>
        <vertAlign val="baseline"/>
        <sz val="12"/>
        <color theme="1"/>
        <name val="Verdana"/>
        <scheme val="none"/>
      </font>
      <numFmt numFmtId="3" formatCode="#,##0"/>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sz val="10"/>
        <color auto="1"/>
        <name val="Verdana"/>
        <scheme val="none"/>
      </font>
      <fill>
        <patternFill patternType="solid">
          <fgColor indexed="64"/>
          <bgColor theme="0"/>
        </patternFill>
      </fill>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theme="1"/>
        <name val="Verdana"/>
        <scheme val="none"/>
      </font>
      <fill>
        <patternFill patternType="solid">
          <fgColor indexed="64"/>
          <bgColor theme="8"/>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name val="Verdana"/>
        <scheme val="none"/>
      </font>
      <alignment horizontal="center" vertical="center" textRotation="0" wrapText="1" indent="0" justifyLastLine="0" shrinkToFit="0" readingOrder="0"/>
    </dxf>
    <dxf>
      <font>
        <strike val="0"/>
        <outline val="0"/>
        <shadow val="0"/>
        <u val="none"/>
        <vertAlign val="baseline"/>
        <sz val="10"/>
        <color theme="1"/>
        <name val="Verdana"/>
        <scheme val="none"/>
      </font>
      <fill>
        <patternFill patternType="none">
          <fgColor indexed="64"/>
          <bgColor auto="1"/>
        </patternFill>
      </fill>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B2:C15" totalsRowShown="0" headerRowDxfId="9" headerRowBorderDxfId="8" tableBorderDxfId="7">
  <tableColumns count="2">
    <tableColumn id="1" name="DATOS ACTUACIONES" dataDxfId="6"/>
    <tableColumn id="2" name="RESPUESTAS_x000a_Seleccione" dataDxfId="5"/>
  </tableColumns>
  <tableStyleInfo name="TableStyleMedium6" showFirstColumn="0" showLastColumn="0" showRowStripes="1" showColumnStripes="0"/>
</table>
</file>

<file path=xl/tables/table2.xml><?xml version="1.0" encoding="utf-8"?>
<table xmlns="http://schemas.openxmlformats.org/spreadsheetml/2006/main" id="2" name="Tabla2" displayName="Tabla2" ref="B17:C28" totalsRowShown="0" headerRowDxfId="4" headerRowBorderDxfId="3" tableBorderDxfId="2">
  <tableColumns count="2">
    <tableColumn id="1" name="DATOS ECONÓMICOS" dataDxfId="1"/>
    <tableColumn id="2" name="RESPUESTAS_x000a_Rellene" dataDxfId="0"/>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8"/>
  <sheetViews>
    <sheetView tabSelected="1" topLeftCell="A16" workbookViewId="0">
      <selection activeCell="E6" sqref="E6"/>
    </sheetView>
  </sheetViews>
  <sheetFormatPr baseColWidth="10" defaultRowHeight="15" x14ac:dyDescent="0.25"/>
  <cols>
    <col min="2" max="2" width="50.7109375" style="1" customWidth="1"/>
    <col min="3" max="3" width="30.7109375" style="2" customWidth="1"/>
  </cols>
  <sheetData>
    <row r="2" spans="2:3" ht="39.950000000000003" customHeight="1" x14ac:dyDescent="0.25">
      <c r="B2" s="23" t="s">
        <v>56</v>
      </c>
      <c r="C2" s="24" t="s">
        <v>58</v>
      </c>
    </row>
    <row r="3" spans="2:3" ht="39.950000000000003" customHeight="1" x14ac:dyDescent="0.25">
      <c r="B3" s="22" t="s">
        <v>0</v>
      </c>
      <c r="C3" s="21" t="s">
        <v>4</v>
      </c>
    </row>
    <row r="4" spans="2:3" ht="39.950000000000003" customHeight="1" x14ac:dyDescent="0.25">
      <c r="B4" s="22" t="s">
        <v>21</v>
      </c>
      <c r="C4" s="21" t="s">
        <v>11</v>
      </c>
    </row>
    <row r="5" spans="2:3" ht="39.950000000000003" customHeight="1" x14ac:dyDescent="0.25">
      <c r="B5" s="22" t="s">
        <v>22</v>
      </c>
      <c r="C5" s="21" t="s">
        <v>11</v>
      </c>
    </row>
    <row r="6" spans="2:3" ht="39.950000000000003" customHeight="1" x14ac:dyDescent="0.25">
      <c r="B6" s="22" t="s">
        <v>23</v>
      </c>
      <c r="C6" s="21" t="s">
        <v>11</v>
      </c>
    </row>
    <row r="7" spans="2:3" ht="39.950000000000003" customHeight="1" x14ac:dyDescent="0.25">
      <c r="B7" s="22" t="s">
        <v>24</v>
      </c>
      <c r="C7" s="21" t="s">
        <v>11</v>
      </c>
    </row>
    <row r="8" spans="2:3" ht="39.950000000000003" customHeight="1" x14ac:dyDescent="0.25">
      <c r="B8" s="22" t="s">
        <v>25</v>
      </c>
      <c r="C8" s="21" t="s">
        <v>11</v>
      </c>
    </row>
    <row r="9" spans="2:3" ht="39.950000000000003" customHeight="1" x14ac:dyDescent="0.25">
      <c r="B9" s="22" t="s">
        <v>35</v>
      </c>
      <c r="C9" s="21" t="s">
        <v>52</v>
      </c>
    </row>
    <row r="10" spans="2:3" ht="39.950000000000003" customHeight="1" x14ac:dyDescent="0.25">
      <c r="B10" s="22" t="s">
        <v>36</v>
      </c>
      <c r="C10" s="21" t="s">
        <v>51</v>
      </c>
    </row>
    <row r="11" spans="2:3" ht="39.950000000000003" customHeight="1" x14ac:dyDescent="0.25">
      <c r="B11" s="22" t="s">
        <v>38</v>
      </c>
      <c r="C11" s="21" t="s">
        <v>12</v>
      </c>
    </row>
    <row r="12" spans="2:3" ht="39.950000000000003" customHeight="1" x14ac:dyDescent="0.25">
      <c r="B12" s="22" t="s">
        <v>1</v>
      </c>
      <c r="C12" s="21" t="s">
        <v>12</v>
      </c>
    </row>
    <row r="13" spans="2:3" ht="39.950000000000003" customHeight="1" x14ac:dyDescent="0.25">
      <c r="B13" s="22" t="s">
        <v>39</v>
      </c>
      <c r="C13" s="25" t="s">
        <v>12</v>
      </c>
    </row>
    <row r="14" spans="2:3" ht="39.950000000000003" customHeight="1" x14ac:dyDescent="0.25">
      <c r="B14" s="22" t="s">
        <v>53</v>
      </c>
      <c r="C14" s="21" t="s">
        <v>12</v>
      </c>
    </row>
    <row r="15" spans="2:3" ht="39.950000000000003" customHeight="1" x14ac:dyDescent="0.25">
      <c r="B15" s="22" t="s">
        <v>44</v>
      </c>
      <c r="C15" s="21" t="s">
        <v>11</v>
      </c>
    </row>
    <row r="17" spans="2:4" ht="39.950000000000003" customHeight="1" x14ac:dyDescent="0.25">
      <c r="B17" s="26" t="s">
        <v>59</v>
      </c>
      <c r="C17" s="27" t="s">
        <v>57</v>
      </c>
    </row>
    <row r="18" spans="2:4" ht="39.950000000000003" customHeight="1" x14ac:dyDescent="0.25">
      <c r="B18" s="29" t="s">
        <v>26</v>
      </c>
      <c r="C18" s="33">
        <v>100000</v>
      </c>
    </row>
    <row r="19" spans="2:4" ht="39.950000000000003" customHeight="1" x14ac:dyDescent="0.25">
      <c r="B19" s="29" t="s">
        <v>27</v>
      </c>
      <c r="C19" s="33">
        <v>80000</v>
      </c>
    </row>
    <row r="20" spans="2:4" ht="39.950000000000003" customHeight="1" x14ac:dyDescent="0.25">
      <c r="B20" s="29" t="s">
        <v>47</v>
      </c>
      <c r="C20" s="33">
        <v>60000</v>
      </c>
    </row>
    <row r="21" spans="2:4" ht="39.950000000000003" customHeight="1" x14ac:dyDescent="0.25">
      <c r="B21" s="29" t="s">
        <v>28</v>
      </c>
      <c r="C21" s="33">
        <v>40000</v>
      </c>
    </row>
    <row r="22" spans="2:4" ht="39.950000000000003" customHeight="1" x14ac:dyDescent="0.25">
      <c r="B22" s="29" t="s">
        <v>29</v>
      </c>
      <c r="C22" s="33">
        <v>20000</v>
      </c>
    </row>
    <row r="23" spans="2:4" ht="39.950000000000003" customHeight="1" x14ac:dyDescent="0.25">
      <c r="B23" s="29" t="s">
        <v>48</v>
      </c>
      <c r="C23" s="33">
        <v>10000</v>
      </c>
    </row>
    <row r="24" spans="2:4" ht="39.950000000000003" customHeight="1" x14ac:dyDescent="0.25">
      <c r="B24" s="29" t="s">
        <v>30</v>
      </c>
      <c r="C24" s="28">
        <v>8</v>
      </c>
    </row>
    <row r="25" spans="2:4" ht="39.950000000000003" customHeight="1" x14ac:dyDescent="0.25">
      <c r="B25" s="29" t="s">
        <v>31</v>
      </c>
      <c r="C25" s="28">
        <v>1</v>
      </c>
    </row>
    <row r="26" spans="2:4" ht="39.950000000000003" customHeight="1" x14ac:dyDescent="0.25">
      <c r="B26" s="29" t="s">
        <v>37</v>
      </c>
      <c r="C26" s="28">
        <v>2</v>
      </c>
    </row>
    <row r="27" spans="2:4" ht="39.950000000000003" customHeight="1" x14ac:dyDescent="0.25">
      <c r="B27" s="29" t="s">
        <v>13</v>
      </c>
      <c r="C27" s="33">
        <v>7000</v>
      </c>
    </row>
    <row r="28" spans="2:4" ht="39.950000000000003" customHeight="1" x14ac:dyDescent="0.25">
      <c r="B28" s="29" t="s">
        <v>14</v>
      </c>
      <c r="C28" s="33">
        <v>2000</v>
      </c>
    </row>
    <row r="29" spans="2:4" ht="15.75" thickBot="1" x14ac:dyDescent="0.3">
      <c r="B29" s="19"/>
      <c r="C29" s="20"/>
    </row>
    <row r="30" spans="2:4" ht="20.100000000000001" customHeight="1" x14ac:dyDescent="0.25">
      <c r="B30" s="31" t="s">
        <v>55</v>
      </c>
      <c r="C30" s="34">
        <f>IF(C15="SÍ",Hoja2!M3+Hoja2!M5+Hoja2!L19+Hoja2!M21+Hoja2!M22,Hoja2!M3+Hoja2!M5+Hoja2!M9+Hoja2!M21+Hoja2!M22)</f>
        <v>115500</v>
      </c>
    </row>
    <row r="31" spans="2:4" ht="20.100000000000001" customHeight="1" x14ac:dyDescent="0.25">
      <c r="B31" s="32" t="s">
        <v>33</v>
      </c>
      <c r="C31" s="35">
        <f>IF(C3="ZETU",Hoja2!K27,Hoja2!K28)</f>
        <v>6000</v>
      </c>
      <c r="D31" s="10"/>
    </row>
    <row r="32" spans="2:4" ht="20.100000000000001" customHeight="1" x14ac:dyDescent="0.25">
      <c r="B32" s="32" t="s">
        <v>34</v>
      </c>
      <c r="C32" s="35">
        <f>IF(C3="ZETU",Hoja2!K32,Hoja2!K33)</f>
        <v>1500</v>
      </c>
    </row>
    <row r="33" spans="2:3" ht="20.100000000000001" customHeight="1" x14ac:dyDescent="0.25">
      <c r="B33" s="32" t="s">
        <v>45</v>
      </c>
      <c r="C33" s="35">
        <f>SUM(C18:C22)+C27+C28</f>
        <v>309000</v>
      </c>
    </row>
    <row r="34" spans="2:3" ht="20.100000000000001" customHeight="1" x14ac:dyDescent="0.25">
      <c r="B34" s="36" t="s">
        <v>32</v>
      </c>
      <c r="C34" s="38">
        <f>SUM(C30:C32)</f>
        <v>123000</v>
      </c>
    </row>
    <row r="35" spans="2:3" ht="20.100000000000001" customHeight="1" thickBot="1" x14ac:dyDescent="0.3">
      <c r="B35" s="37" t="s">
        <v>46</v>
      </c>
      <c r="C35" s="30">
        <f>C34/C33</f>
        <v>0.39805825242718446</v>
      </c>
    </row>
    <row r="38" spans="2:3" ht="99.95" customHeight="1" x14ac:dyDescent="0.25">
      <c r="B38" s="39" t="s">
        <v>49</v>
      </c>
      <c r="C38" s="40"/>
    </row>
  </sheetData>
  <mergeCells count="1">
    <mergeCell ref="B38:C38"/>
  </mergeCells>
  <dataValidations count="5">
    <dataValidation type="list" allowBlank="1" showInputMessage="1" showErrorMessage="1" sqref="C3">
      <formula1>"ZETU,ZIRE"</formula1>
    </dataValidation>
    <dataValidation type="list" allowBlank="1" showInputMessage="1" showErrorMessage="1" sqref="C4:C8 C11 C13:C15">
      <formula1>"SÍ,NO"</formula1>
    </dataValidation>
    <dataValidation type="list" allowBlank="1" showInputMessage="1" showErrorMessage="1" sqref="C12">
      <formula1>"SI,NO"</formula1>
    </dataValidation>
    <dataValidation type="list" allowBlank="1" showInputMessage="1" showErrorMessage="1" sqref="C9">
      <formula1>"AL MENOS UN 35%,AL MENOS UN 60%"</formula1>
    </dataValidation>
    <dataValidation type="list" allowBlank="1" showInputMessage="1" showErrorMessage="1" sqref="C10">
      <mc:AlternateContent xmlns:x12ac="http://schemas.microsoft.com/office/spreadsheetml/2011/1/ac" xmlns:mc="http://schemas.openxmlformats.org/markup-compatibility/2006">
        <mc:Choice Requires="x12ac">
          <x12ac:list>"A,B,C,D o E",F o G</x12ac:list>
        </mc:Choice>
        <mc:Fallback>
          <formula1>"A,B,C,D o E,F o G"</formula1>
        </mc:Fallback>
      </mc:AlternateContent>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workbookViewId="0">
      <selection activeCell="M9" sqref="M9"/>
    </sheetView>
  </sheetViews>
  <sheetFormatPr baseColWidth="10" defaultRowHeight="15" customHeight="1" x14ac:dyDescent="0.25"/>
  <cols>
    <col min="2" max="2" width="50.7109375" style="5" customWidth="1"/>
    <col min="3" max="3" width="15.7109375" style="4" customWidth="1"/>
    <col min="4" max="5" width="25.7109375" style="4" customWidth="1"/>
    <col min="9" max="9" width="11.85546875" bestFit="1" customWidth="1"/>
  </cols>
  <sheetData>
    <row r="2" spans="2:13" s="3" customFormat="1" ht="30" customHeight="1" x14ac:dyDescent="0.25">
      <c r="B2" s="8" t="s">
        <v>8</v>
      </c>
      <c r="C2" s="9" t="s">
        <v>7</v>
      </c>
      <c r="D2" s="9" t="s">
        <v>10</v>
      </c>
      <c r="E2" s="9" t="s">
        <v>9</v>
      </c>
      <c r="G2" s="2" t="s">
        <v>40</v>
      </c>
      <c r="H2" s="2" t="s">
        <v>42</v>
      </c>
      <c r="I2" s="2" t="s">
        <v>41</v>
      </c>
      <c r="J2"/>
      <c r="K2" s="16" t="s">
        <v>43</v>
      </c>
      <c r="L2" s="17" t="s">
        <v>50</v>
      </c>
      <c r="M2" s="17" t="s">
        <v>54</v>
      </c>
    </row>
    <row r="3" spans="2:13" ht="15" customHeight="1" x14ac:dyDescent="0.25">
      <c r="B3" s="41" t="s">
        <v>15</v>
      </c>
      <c r="C3" s="6" t="s">
        <v>2</v>
      </c>
      <c r="D3" s="14">
        <v>0.75</v>
      </c>
      <c r="E3" s="6">
        <v>10000</v>
      </c>
      <c r="G3">
        <f>Hoja1!C18/Hoja1!C24</f>
        <v>12500</v>
      </c>
      <c r="H3">
        <f>G3*Hoja1!C26</f>
        <v>25000</v>
      </c>
      <c r="I3" s="15">
        <f>Hoja1!C18-H3</f>
        <v>75000</v>
      </c>
      <c r="K3">
        <f>IF((H3*$D$24+I3*D3)&gt;(E3*(Hoja1!$C$24+Hoja1!$C$25)),(Hoja1!$C$24+Hoja1!$C$25)*E3,H3*$D$24+I3*D3)</f>
        <v>78750</v>
      </c>
      <c r="L3">
        <f>IF((H3*$D$24+I3*D3)&gt;(E3*(Hoja1!$C$24+Hoja1!$C$25)),(Hoja1!$C$24+Hoja1!$C$25)*E3,H3*$D$24+I3*D3)</f>
        <v>78750</v>
      </c>
      <c r="M3">
        <f>IF(Hoja1!$C$3="SI",L3,L4)</f>
        <v>36000</v>
      </c>
    </row>
    <row r="4" spans="2:13" ht="15" customHeight="1" x14ac:dyDescent="0.25">
      <c r="B4" s="41"/>
      <c r="C4" s="6" t="s">
        <v>4</v>
      </c>
      <c r="D4" s="14">
        <v>0.4</v>
      </c>
      <c r="E4" s="6">
        <v>4000</v>
      </c>
      <c r="G4">
        <f>Hoja1!C18/Hoja1!C24</f>
        <v>12500</v>
      </c>
      <c r="H4">
        <f>G4*Hoja1!C26</f>
        <v>25000</v>
      </c>
      <c r="I4" s="15">
        <f>Hoja1!C18-H4</f>
        <v>75000</v>
      </c>
      <c r="K4">
        <f>IF((H4*$D$24+I4*D4)&gt;(E4*(Hoja1!$C$24+Hoja1!$C$25)),(Hoja1!$C$24+Hoja1!$C$25)*E4,H4*$D$24+I4*D4)</f>
        <v>36000</v>
      </c>
      <c r="L4">
        <f>IF((H4*$D$24+I4*D4)&gt;(E4*(Hoja1!$C$24+Hoja1!$C$25)),(Hoja1!$C$24+Hoja1!$C$25)*E4,H4*$D$24+I4*D4)</f>
        <v>36000</v>
      </c>
    </row>
    <row r="5" spans="2:13" ht="15" customHeight="1" x14ac:dyDescent="0.25">
      <c r="B5" s="41" t="s">
        <v>3</v>
      </c>
      <c r="C5" s="41" t="s">
        <v>2</v>
      </c>
      <c r="D5" s="14">
        <v>0.5</v>
      </c>
      <c r="E5" s="6">
        <v>5000</v>
      </c>
      <c r="G5">
        <f>Hoja1!$C$19/Hoja1!$C$24</f>
        <v>10000</v>
      </c>
      <c r="H5">
        <f>G5*Hoja1!$C$26</f>
        <v>20000</v>
      </c>
      <c r="I5" s="15">
        <f>Hoja1!$C$19-H5</f>
        <v>60000</v>
      </c>
      <c r="K5">
        <f>IF((H5*$D$24+I5*D5)&gt;(E5*(Hoja1!$C$24+Hoja1!$C$25)),(Hoja1!$C$24+Hoja1!$C$25)*E5,H5*$D$24+I5*D5)</f>
        <v>45000</v>
      </c>
      <c r="L5">
        <f>IF(Hoja1!C11="si",K6,K5)</f>
        <v>45000</v>
      </c>
      <c r="M5">
        <f>IF(Hoja1!$C$3="SI",L5+L6,L7+L8)</f>
        <v>36000</v>
      </c>
    </row>
    <row r="6" spans="2:13" ht="15" customHeight="1" x14ac:dyDescent="0.25">
      <c r="B6" s="41"/>
      <c r="C6" s="41"/>
      <c r="D6" s="14">
        <v>0.55000000000000004</v>
      </c>
      <c r="E6" s="6">
        <v>5000</v>
      </c>
      <c r="G6">
        <f>Hoja1!$C$19/Hoja1!$C$24</f>
        <v>10000</v>
      </c>
      <c r="H6">
        <f>G6*Hoja1!$C$26</f>
        <v>20000</v>
      </c>
      <c r="I6" s="15">
        <f>Hoja1!$C$19-H6</f>
        <v>60000</v>
      </c>
      <c r="K6">
        <f>IF((H6*$D$24+I6*D6)&gt;(E6*(Hoja1!$C$24+Hoja1!$C$25)),(Hoja1!$C$24+Hoja1!$C$25)*E6,H6*$D$24+I6*D6)</f>
        <v>45000</v>
      </c>
    </row>
    <row r="7" spans="2:13" ht="15" customHeight="1" x14ac:dyDescent="0.25">
      <c r="B7" s="41"/>
      <c r="C7" s="41" t="s">
        <v>4</v>
      </c>
      <c r="D7" s="14">
        <v>0.4</v>
      </c>
      <c r="E7" s="6">
        <v>4000</v>
      </c>
      <c r="G7">
        <f>Hoja1!$C$19/Hoja1!$C$24</f>
        <v>10000</v>
      </c>
      <c r="H7">
        <f>G7*Hoja1!$C$26</f>
        <v>20000</v>
      </c>
      <c r="I7" s="15">
        <f>Hoja1!$C$19-H7</f>
        <v>60000</v>
      </c>
      <c r="K7">
        <f>IF((H7*$D$24+I7*D7)&gt;(E7*(Hoja1!$C$24+Hoja1!$C$25)),(Hoja1!$C$24+Hoja1!$C$25)*E7,H7*$D$24+I7*D7)</f>
        <v>36000</v>
      </c>
      <c r="L7">
        <f>IF(Hoja1!C11="si",K8,K7)</f>
        <v>36000</v>
      </c>
    </row>
    <row r="8" spans="2:13" ht="15" customHeight="1" x14ac:dyDescent="0.25">
      <c r="B8" s="41"/>
      <c r="C8" s="41"/>
      <c r="D8" s="14">
        <v>0.45</v>
      </c>
      <c r="E8" s="6">
        <v>4000</v>
      </c>
      <c r="G8">
        <f>Hoja1!$C$19/Hoja1!$C$24</f>
        <v>10000</v>
      </c>
      <c r="H8">
        <f>G8*Hoja1!$C$26</f>
        <v>20000</v>
      </c>
      <c r="I8" s="15">
        <f>Hoja1!$C$19-H8</f>
        <v>60000</v>
      </c>
      <c r="K8">
        <f>IF((H8*$D$24+I8*D8)&gt;(E8*(Hoja1!$C$24+Hoja1!$C$25)),(Hoja1!$C$24+Hoja1!$C$25)*E8,H8*$D$24+I8*D8)</f>
        <v>36000</v>
      </c>
    </row>
    <row r="9" spans="2:13" ht="15" customHeight="1" x14ac:dyDescent="0.25">
      <c r="B9" s="41" t="s">
        <v>16</v>
      </c>
      <c r="C9" s="41" t="s">
        <v>2</v>
      </c>
      <c r="D9" s="14">
        <v>0.6</v>
      </c>
      <c r="E9" s="6">
        <v>8000</v>
      </c>
      <c r="G9">
        <f>Hoja1!$C$20/Hoja1!$C$24</f>
        <v>7500</v>
      </c>
      <c r="H9">
        <f>G9*Hoja1!$C$26</f>
        <v>15000</v>
      </c>
      <c r="I9" s="15">
        <f>Hoja1!$C$20-H9</f>
        <v>45000</v>
      </c>
      <c r="K9">
        <f>IF((H9*$D$24+I9*D9)&gt;(E9*(Hoja1!$C$24+Hoja1!$C$25)),(Hoja1!$C$24+Hoja1!$C$25)*E9,H9*$D$24+I9*D9)</f>
        <v>40500</v>
      </c>
      <c r="L9">
        <f>IF(AND(Hoja1!$C$9="AL MENOS UN 35%",Hoja1!$C$10="A,B,C,D o E"),K9,0)</f>
        <v>0</v>
      </c>
      <c r="M9">
        <f>IF(Hoja1!$C$3="SI",L9+L10+L11+L12+L13,L14+L15+L16+L17+L18)</f>
        <v>40500</v>
      </c>
    </row>
    <row r="10" spans="2:13" ht="15" customHeight="1" x14ac:dyDescent="0.25">
      <c r="B10" s="41"/>
      <c r="C10" s="41"/>
      <c r="D10" s="14">
        <v>0.65</v>
      </c>
      <c r="E10" s="7">
        <v>8000</v>
      </c>
      <c r="G10">
        <f>Hoja1!$C$20/Hoja1!$C$24</f>
        <v>7500</v>
      </c>
      <c r="H10">
        <f>G10*Hoja1!$C$26</f>
        <v>15000</v>
      </c>
      <c r="I10" s="15">
        <f>Hoja1!$C$20-H10</f>
        <v>45000</v>
      </c>
      <c r="K10">
        <f>IF((H10*$D$24+I10*D10)&gt;(E10*(Hoja1!$C$24+Hoja1!$C$25)),(Hoja1!$C$24+Hoja1!$C$25)*E10,H10*$D$24+I10*D10)</f>
        <v>42750</v>
      </c>
      <c r="L10">
        <f>IF(AND(Hoja1!$C$9="AL MENOS UN 35%",Hoja1!$C$10="F o G"),K10,0)</f>
        <v>0</v>
      </c>
    </row>
    <row r="11" spans="2:13" ht="15" customHeight="1" x14ac:dyDescent="0.25">
      <c r="B11" s="41"/>
      <c r="C11" s="41"/>
      <c r="D11" s="14">
        <v>0.7</v>
      </c>
      <c r="E11" s="7">
        <v>8000</v>
      </c>
      <c r="G11">
        <f>Hoja1!$C$20/Hoja1!$C$24</f>
        <v>7500</v>
      </c>
      <c r="H11">
        <f>G11*Hoja1!$C$26</f>
        <v>15000</v>
      </c>
      <c r="I11" s="15">
        <f>Hoja1!$C$20-H11</f>
        <v>45000</v>
      </c>
      <c r="K11">
        <f>IF((H11*$D$24+I11*D11)&gt;(E11*(Hoja1!$C$24+Hoja1!$C$25)),(Hoja1!$C$24+Hoja1!$C$25)*E11,H11*$D$24+I11*D11)</f>
        <v>45000</v>
      </c>
      <c r="L11">
        <f>IF(AND(Hoja1!$C$9="AL MENOS UN 60%",Hoja1!$C$10="A,B,C,D o E"),K11,0)</f>
        <v>45000</v>
      </c>
    </row>
    <row r="12" spans="2:13" ht="15" customHeight="1" x14ac:dyDescent="0.25">
      <c r="B12" s="41"/>
      <c r="C12" s="41"/>
      <c r="D12" s="14">
        <v>0.75</v>
      </c>
      <c r="E12" s="7">
        <v>8000</v>
      </c>
      <c r="G12">
        <f>Hoja1!$C$20/Hoja1!$C$24</f>
        <v>7500</v>
      </c>
      <c r="H12">
        <f>G12*Hoja1!$C$26</f>
        <v>15000</v>
      </c>
      <c r="I12" s="15">
        <f>Hoja1!$C$20-H12</f>
        <v>45000</v>
      </c>
      <c r="K12">
        <f>IF((H12*$D$24+I12*D12)&gt;(E12*(Hoja1!$C$24+Hoja1!$C$25)),(Hoja1!$C$24+Hoja1!$C$25)*E12,H12*$D$24+I12*D12)</f>
        <v>47250</v>
      </c>
      <c r="L12">
        <f>IF(AND(Hoja1!$C$9="AL MENOS UN 60%",Hoja1!$C$10="F o G"),K12,0)</f>
        <v>0</v>
      </c>
    </row>
    <row r="13" spans="2:13" ht="15" customHeight="1" x14ac:dyDescent="0.25">
      <c r="B13" s="41"/>
      <c r="C13" s="41"/>
      <c r="D13" s="14">
        <v>0.75</v>
      </c>
      <c r="E13" s="7">
        <v>8000</v>
      </c>
      <c r="G13">
        <f>Hoja1!$C$20/Hoja1!$C$24</f>
        <v>7500</v>
      </c>
      <c r="H13">
        <f>G13*Hoja1!$C$26</f>
        <v>15000</v>
      </c>
      <c r="I13" s="15">
        <f>Hoja1!$C$20-H13</f>
        <v>45000</v>
      </c>
      <c r="K13">
        <f>IF((H13*$D$24+I13*D13)&gt;(E13*(Hoja1!$C$24+Hoja1!$C$25)),(Hoja1!$C$24+Hoja1!$C$25)*E13,H13*$D$24+I13*D13)</f>
        <v>47250</v>
      </c>
      <c r="L13">
        <f>IF(Hoja1!C11="SI",K13,0)</f>
        <v>0</v>
      </c>
    </row>
    <row r="14" spans="2:13" ht="15" customHeight="1" x14ac:dyDescent="0.25">
      <c r="B14" s="41"/>
      <c r="C14" s="41" t="s">
        <v>4</v>
      </c>
      <c r="D14" s="14">
        <v>0.5</v>
      </c>
      <c r="E14" s="7">
        <v>8000</v>
      </c>
      <c r="G14">
        <f>Hoja1!$C$20/Hoja1!$C$24</f>
        <v>7500</v>
      </c>
      <c r="H14">
        <f>G14*Hoja1!$C$26</f>
        <v>15000</v>
      </c>
      <c r="I14" s="15">
        <f>Hoja1!$C$20-H14</f>
        <v>45000</v>
      </c>
      <c r="K14">
        <f>IF((H14*$D$24+I14*D14)&gt;(E14*(Hoja1!$C$24+Hoja1!$C$25)),(Hoja1!$C$24+Hoja1!$C$25)*E14,H14*$D$24+I14*D14)</f>
        <v>36000</v>
      </c>
      <c r="L14">
        <f>IF(AND(Hoja1!$C$9="AL MENOS UN 35%",Hoja1!$C$10="A,B,C,D o E"),K14,0)</f>
        <v>0</v>
      </c>
    </row>
    <row r="15" spans="2:13" ht="15" customHeight="1" x14ac:dyDescent="0.25">
      <c r="B15" s="41"/>
      <c r="C15" s="41"/>
      <c r="D15" s="14">
        <v>0.55000000000000004</v>
      </c>
      <c r="E15" s="7">
        <v>8000</v>
      </c>
      <c r="G15">
        <f>Hoja1!$C$20/Hoja1!$C$24</f>
        <v>7500</v>
      </c>
      <c r="H15">
        <f>G15*Hoja1!$C$26</f>
        <v>15000</v>
      </c>
      <c r="I15" s="15">
        <f>Hoja1!$C$20-H15</f>
        <v>45000</v>
      </c>
      <c r="K15">
        <f>IF((H15*$D$24+I15*D15)&gt;(E15*(Hoja1!$C$24+Hoja1!$C$25)),(Hoja1!$C$24+Hoja1!$C$25)*E15,H15*$D$24+I15*D15)</f>
        <v>38250</v>
      </c>
      <c r="L15">
        <f>IF(AND(Hoja1!$C$9="AL MENOS UN 35%",Hoja1!$C$10="F o G"),K15,0)</f>
        <v>0</v>
      </c>
    </row>
    <row r="16" spans="2:13" ht="15" customHeight="1" x14ac:dyDescent="0.25">
      <c r="B16" s="41"/>
      <c r="C16" s="41"/>
      <c r="D16" s="14">
        <v>0.6</v>
      </c>
      <c r="E16" s="7">
        <v>8000</v>
      </c>
      <c r="G16">
        <f>Hoja1!$C$20/Hoja1!$C$24</f>
        <v>7500</v>
      </c>
      <c r="H16">
        <f>G16*Hoja1!$C$26</f>
        <v>15000</v>
      </c>
      <c r="I16" s="15">
        <f>Hoja1!$C$20-H16</f>
        <v>45000</v>
      </c>
      <c r="K16">
        <f>IF((H16*$D$24+I16*D16)&gt;(E16*(Hoja1!$C$24+Hoja1!$C$25)),(Hoja1!$C$24+Hoja1!$C$25)*E16,H16*$D$24+I16*D16)</f>
        <v>40500</v>
      </c>
      <c r="L16">
        <f>IF(AND(Hoja1!$C$9="AL MENOS UN 60%",Hoja1!$C$10="A,B,C,D o E"),K16,0)</f>
        <v>40500</v>
      </c>
    </row>
    <row r="17" spans="2:16" ht="15" customHeight="1" x14ac:dyDescent="0.25">
      <c r="B17" s="41"/>
      <c r="C17" s="41"/>
      <c r="D17" s="14">
        <v>0.65</v>
      </c>
      <c r="E17" s="7">
        <v>8000</v>
      </c>
      <c r="G17">
        <f>Hoja1!$C$20/Hoja1!$C$24</f>
        <v>7500</v>
      </c>
      <c r="H17">
        <f>G17*Hoja1!$C$26</f>
        <v>15000</v>
      </c>
      <c r="I17" s="15">
        <f>Hoja1!$C$20-H17</f>
        <v>45000</v>
      </c>
      <c r="K17">
        <f>IF((H17*$D$24+I17*D17)&gt;(E17*(Hoja1!$C$24+Hoja1!$C$25)),(Hoja1!$C$24+Hoja1!$C$25)*E17,H17*$D$24+I17*D17)</f>
        <v>42750</v>
      </c>
      <c r="L17">
        <f>IF(AND(Hoja1!$C$9="AL MENOS UN 60%",Hoja1!$C$10="F o G"),K17,0)</f>
        <v>0</v>
      </c>
    </row>
    <row r="18" spans="2:16" ht="15" customHeight="1" x14ac:dyDescent="0.25">
      <c r="B18" s="41"/>
      <c r="C18" s="41"/>
      <c r="D18" s="14">
        <v>0.65</v>
      </c>
      <c r="E18" s="7">
        <v>8000</v>
      </c>
      <c r="G18">
        <f>Hoja1!$C$20/Hoja1!$C$24</f>
        <v>7500</v>
      </c>
      <c r="H18">
        <f>G18*Hoja1!$C$26</f>
        <v>15000</v>
      </c>
      <c r="I18" s="15">
        <f>Hoja1!$C$20-H18</f>
        <v>45000</v>
      </c>
      <c r="K18">
        <f>IF((H18*$D$24+I18*D18)&gt;(E18*(Hoja1!$C$24+Hoja1!$C$25)),(Hoja1!$C$24+Hoja1!$C$25)*E18,H18*$D$24+I18*D18)</f>
        <v>42750</v>
      </c>
      <c r="L18">
        <f>IF(Hoja1!C18="SI",K18,0)</f>
        <v>0</v>
      </c>
    </row>
    <row r="19" spans="2:16" ht="15" customHeight="1" x14ac:dyDescent="0.25">
      <c r="B19" s="41"/>
      <c r="C19" s="42" t="s">
        <v>5</v>
      </c>
      <c r="D19" s="14">
        <v>0.8</v>
      </c>
      <c r="E19" s="6" t="s">
        <v>6</v>
      </c>
      <c r="G19">
        <f>Hoja1!$C$20/Hoja1!$C$24</f>
        <v>7500</v>
      </c>
      <c r="H19">
        <f>G19*Hoja1!$C$26</f>
        <v>15000</v>
      </c>
      <c r="I19" s="15">
        <f>Hoja1!$C$20-H19</f>
        <v>45000</v>
      </c>
      <c r="K19" s="15">
        <f>Hoja1!C20*D19</f>
        <v>48000</v>
      </c>
      <c r="L19" s="18">
        <f>IF(Hoja1!C15="SI",K19,0)</f>
        <v>0</v>
      </c>
    </row>
    <row r="20" spans="2:16" ht="15" customHeight="1" x14ac:dyDescent="0.25">
      <c r="B20" s="41"/>
      <c r="C20" s="43"/>
      <c r="D20" s="14">
        <v>0.9</v>
      </c>
      <c r="E20" s="7" t="s">
        <v>6</v>
      </c>
      <c r="G20">
        <f>Hoja1!$C$20/Hoja1!$C$24</f>
        <v>7500</v>
      </c>
      <c r="H20">
        <f>G20*Hoja1!$C$26</f>
        <v>15000</v>
      </c>
      <c r="I20" s="15">
        <f>Hoja1!$C$20-H20</f>
        <v>45000</v>
      </c>
      <c r="K20">
        <f>Hoja1!C23*D20</f>
        <v>9000</v>
      </c>
      <c r="L20">
        <f>IF(AND(Hoja1!C13="SI",Hoja1!C14="SI"),K20,0)</f>
        <v>0</v>
      </c>
    </row>
    <row r="21" spans="2:16" ht="15" customHeight="1" x14ac:dyDescent="0.25">
      <c r="B21" s="6" t="s">
        <v>17</v>
      </c>
      <c r="C21" s="6" t="s">
        <v>5</v>
      </c>
      <c r="D21" s="14">
        <v>0.75</v>
      </c>
      <c r="E21" s="6">
        <v>10000</v>
      </c>
      <c r="G21">
        <f>Hoja1!C21/Hoja1!C24</f>
        <v>5000</v>
      </c>
      <c r="H21">
        <f>G21*Hoja1!C26</f>
        <v>10000</v>
      </c>
      <c r="I21" s="15">
        <f>Hoja1!C21-H21</f>
        <v>30000</v>
      </c>
      <c r="K21">
        <f>IF((H21*$D$24+I21*D21)&gt;(E21*(Hoja1!$C$24+Hoja1!$C$25)),(Hoja1!$C$24+Hoja1!$C$25)*E21,H21*$D$24+I21*D21)</f>
        <v>31500</v>
      </c>
      <c r="L21">
        <f>K21</f>
        <v>31500</v>
      </c>
      <c r="M21">
        <f>L21</f>
        <v>31500</v>
      </c>
    </row>
    <row r="22" spans="2:16" ht="15" customHeight="1" x14ac:dyDescent="0.25">
      <c r="B22" s="41" t="s">
        <v>18</v>
      </c>
      <c r="C22" s="6" t="s">
        <v>2</v>
      </c>
      <c r="D22" s="14">
        <v>0.6</v>
      </c>
      <c r="E22" s="6">
        <v>8000</v>
      </c>
      <c r="G22">
        <f>Hoja1!C22/Hoja1!C24</f>
        <v>2500</v>
      </c>
      <c r="H22">
        <f>G22*Hoja1!C26</f>
        <v>5000</v>
      </c>
      <c r="I22" s="15">
        <f>Hoja1!C22-H22</f>
        <v>15000</v>
      </c>
      <c r="K22">
        <f>IF((H22*$D$24+I22*D22)&gt;(E22*(Hoja1!$C$24+Hoja1!$C$25)),(Hoja1!$C$24+Hoja1!$C$25)*E22,H22*$D$24+I22*D22)</f>
        <v>13500</v>
      </c>
      <c r="L22">
        <f>IF((H22*$D$24+I22*D22)&gt;(E22*(Hoja1!$C$24+Hoja1!$C$25)),(Hoja1!$C$24+Hoja1!$C$25)*E22,H22*$D$24+I22*D22)</f>
        <v>13500</v>
      </c>
      <c r="M22">
        <f>IF(Hoja1!$C$3="SI",L22,L23)</f>
        <v>12000</v>
      </c>
    </row>
    <row r="23" spans="2:16" ht="15" customHeight="1" x14ac:dyDescent="0.25">
      <c r="B23" s="41"/>
      <c r="C23" s="6" t="s">
        <v>4</v>
      </c>
      <c r="D23" s="14">
        <v>0.5</v>
      </c>
      <c r="E23" s="6">
        <v>5000</v>
      </c>
      <c r="G23">
        <f>Hoja1!C22/Hoja1!C24</f>
        <v>2500</v>
      </c>
      <c r="H23">
        <f>G23*Hoja1!C26</f>
        <v>5000</v>
      </c>
      <c r="I23" s="15">
        <f>Hoja1!C22-H23</f>
        <v>15000</v>
      </c>
      <c r="K23">
        <f>IF((H23*$D$24+I23*D23)&gt;(E23*(Hoja1!$C$24+Hoja1!$C$25)),(Hoja1!$C$24+Hoja1!$C$25)*E23,H23*$D$24+I23*D23)</f>
        <v>12000</v>
      </c>
      <c r="L23">
        <f>IF((H23*$D$24+I23*D23)&gt;(E23*(Hoja1!$C$24+Hoja1!$C$25)),(Hoja1!$C$24+Hoja1!$C$25)*E23,H23*$D$24+I23*D23)</f>
        <v>12000</v>
      </c>
    </row>
    <row r="24" spans="2:16" ht="15" customHeight="1" x14ac:dyDescent="0.25">
      <c r="B24" s="6" t="s">
        <v>19</v>
      </c>
      <c r="C24" s="6" t="s">
        <v>5</v>
      </c>
      <c r="D24" s="14">
        <v>0.9</v>
      </c>
      <c r="E24" s="6" t="s">
        <v>6</v>
      </c>
    </row>
    <row r="26" spans="2:16" ht="30" customHeight="1" x14ac:dyDescent="0.25">
      <c r="C26" s="8" t="s">
        <v>7</v>
      </c>
      <c r="D26" s="8" t="s">
        <v>10</v>
      </c>
      <c r="E26" s="9" t="s">
        <v>20</v>
      </c>
      <c r="G26" s="2" t="s">
        <v>40</v>
      </c>
      <c r="H26" s="2" t="s">
        <v>42</v>
      </c>
      <c r="I26" s="2" t="s">
        <v>41</v>
      </c>
      <c r="K26" s="16" t="s">
        <v>43</v>
      </c>
      <c r="L26" s="12"/>
      <c r="M26" s="11"/>
      <c r="N26" s="12"/>
      <c r="O26" s="11"/>
      <c r="P26" s="11"/>
    </row>
    <row r="27" spans="2:16" ht="15" customHeight="1" x14ac:dyDescent="0.25">
      <c r="C27" s="6" t="s">
        <v>2</v>
      </c>
      <c r="D27" s="14">
        <v>0.75</v>
      </c>
      <c r="E27" s="6">
        <v>12000</v>
      </c>
      <c r="G27">
        <f>Hoja1!C27/Hoja1!C24</f>
        <v>875</v>
      </c>
      <c r="H27">
        <f>G27*Hoja1!C26</f>
        <v>1750</v>
      </c>
      <c r="I27" s="15">
        <f>Hoja1!C27-H27</f>
        <v>5250</v>
      </c>
      <c r="K27" s="11">
        <f>IF(Hoja1!C27&lt;E27,I27*D27+H27*D29,E27)</f>
        <v>5512.5</v>
      </c>
      <c r="L27" s="13"/>
      <c r="N27" s="11"/>
      <c r="O27" s="11"/>
      <c r="P27" s="11"/>
    </row>
    <row r="28" spans="2:16" ht="15" customHeight="1" x14ac:dyDescent="0.25">
      <c r="C28" s="6" t="s">
        <v>4</v>
      </c>
      <c r="D28" s="14">
        <v>0.4</v>
      </c>
      <c r="E28" s="6">
        <v>6000</v>
      </c>
      <c r="G28">
        <f>Hoja1!C27/Hoja1!C24</f>
        <v>875</v>
      </c>
      <c r="H28">
        <f>G28*Hoja1!C26</f>
        <v>1750</v>
      </c>
      <c r="I28" s="15">
        <f>Hoja1!C27-H28</f>
        <v>5250</v>
      </c>
      <c r="K28" s="11">
        <f>IF(Hoja1!C27&lt;E28,I28*D28+H28*D29,E28)</f>
        <v>6000</v>
      </c>
      <c r="L28" s="11"/>
      <c r="N28" s="11"/>
      <c r="O28" s="11"/>
      <c r="P28" s="11"/>
    </row>
    <row r="29" spans="2:16" ht="15" customHeight="1" x14ac:dyDescent="0.25">
      <c r="C29" s="6" t="s">
        <v>5</v>
      </c>
      <c r="D29" s="14">
        <v>0.9</v>
      </c>
      <c r="E29" s="6" t="s">
        <v>6</v>
      </c>
      <c r="K29" s="11"/>
      <c r="L29" s="11"/>
      <c r="M29" s="11"/>
      <c r="N29" s="11"/>
      <c r="O29" s="11"/>
      <c r="P29" s="11"/>
    </row>
    <row r="30" spans="2:16" ht="15" customHeight="1" x14ac:dyDescent="0.25">
      <c r="K30" s="11"/>
      <c r="L30" s="11"/>
      <c r="M30" s="11"/>
      <c r="N30" s="11"/>
      <c r="O30" s="11"/>
      <c r="P30" s="11"/>
    </row>
    <row r="31" spans="2:16" ht="30" customHeight="1" x14ac:dyDescent="0.25">
      <c r="C31" s="8" t="s">
        <v>7</v>
      </c>
      <c r="D31" s="8" t="s">
        <v>10</v>
      </c>
      <c r="E31" s="9" t="s">
        <v>20</v>
      </c>
      <c r="G31" s="2" t="s">
        <v>40</v>
      </c>
      <c r="H31" s="2" t="s">
        <v>42</v>
      </c>
      <c r="I31" s="2" t="s">
        <v>41</v>
      </c>
      <c r="K31" s="11"/>
      <c r="L31" s="12"/>
      <c r="M31" s="11"/>
      <c r="N31" s="11"/>
      <c r="O31" s="11"/>
      <c r="P31" s="11"/>
    </row>
    <row r="32" spans="2:16" ht="15" customHeight="1" x14ac:dyDescent="0.25">
      <c r="C32" s="6" t="s">
        <v>2</v>
      </c>
      <c r="D32" s="14">
        <v>0.75</v>
      </c>
      <c r="E32" s="6">
        <v>3000</v>
      </c>
      <c r="G32">
        <f>Hoja1!C28/Hoja1!C24</f>
        <v>250</v>
      </c>
      <c r="H32">
        <f>G32*Hoja1!C26</f>
        <v>500</v>
      </c>
      <c r="I32" s="15">
        <f>Hoja1!C28-H32</f>
        <v>1500</v>
      </c>
      <c r="K32" s="11">
        <f>IF(Hoja1!C28&lt;E32,I32*D32+H32*D34,E32)</f>
        <v>1575</v>
      </c>
      <c r="L32" s="13"/>
      <c r="M32" s="11"/>
      <c r="N32" s="11"/>
      <c r="O32" s="11"/>
      <c r="P32" s="11"/>
    </row>
    <row r="33" spans="3:16" ht="15" customHeight="1" x14ac:dyDescent="0.25">
      <c r="C33" s="6" t="s">
        <v>4</v>
      </c>
      <c r="D33" s="14">
        <v>0.4</v>
      </c>
      <c r="E33" s="6">
        <v>1500</v>
      </c>
      <c r="G33">
        <f>Hoja1!C28/Hoja1!C24</f>
        <v>250</v>
      </c>
      <c r="H33">
        <f>G33*Hoja1!C26</f>
        <v>500</v>
      </c>
      <c r="I33" s="15">
        <f>Hoja1!C28-H33</f>
        <v>1500</v>
      </c>
      <c r="K33" s="11">
        <f>IF(Hoja1!C28&lt;E33,I33*D33+H33*D34,E33)</f>
        <v>1500</v>
      </c>
      <c r="L33" s="11"/>
      <c r="M33" s="11"/>
      <c r="N33" s="11"/>
      <c r="O33" s="11"/>
      <c r="P33" s="11"/>
    </row>
    <row r="34" spans="3:16" ht="15" customHeight="1" x14ac:dyDescent="0.25">
      <c r="C34" s="6" t="s">
        <v>5</v>
      </c>
      <c r="D34" s="14">
        <v>0.9</v>
      </c>
      <c r="E34" s="6" t="s">
        <v>6</v>
      </c>
      <c r="K34" s="11"/>
      <c r="L34" s="11"/>
      <c r="M34" s="11"/>
      <c r="N34" s="11"/>
      <c r="O34" s="11"/>
      <c r="P34" s="11"/>
    </row>
  </sheetData>
  <sheetProtection algorithmName="SHA-512" hashValue="d7V9Q52gcCExc4jN7MqMHCqTWly5N4T6g8DYp3PKgsLVGkykvv49aaPgxWy760t5YxNiywk3/xVWiYMe2aq+ZQ==" saltValue="K6wXBgTuBCTlNwTWiOdCIg==" spinCount="100000" sheet="1" objects="1" scenarios="1" selectLockedCells="1" selectUnlockedCells="1"/>
  <mergeCells count="9">
    <mergeCell ref="B3:B4"/>
    <mergeCell ref="B5:B8"/>
    <mergeCell ref="B9:B20"/>
    <mergeCell ref="B22:B23"/>
    <mergeCell ref="C5:C6"/>
    <mergeCell ref="C7:C8"/>
    <mergeCell ref="C9:C13"/>
    <mergeCell ref="C14:C18"/>
    <mergeCell ref="C19:C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María Castillo</dc:creator>
  <cp:lastModifiedBy>Jose María Castillo</cp:lastModifiedBy>
  <dcterms:created xsi:type="dcterms:W3CDTF">2025-03-17T13:13:07Z</dcterms:created>
  <dcterms:modified xsi:type="dcterms:W3CDTF">2025-05-22T07:43:11Z</dcterms:modified>
</cp:coreProperties>
</file>